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80" windowWidth="11280" windowHeight="6165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  <sheet name="Sheet6" sheetId="6" r:id="rId6"/>
    <sheet name="Sheet7" sheetId="7" r:id="rId7"/>
    <sheet name="Sheet8" sheetId="8" r:id="rId8"/>
    <sheet name="Sheet9" sheetId="9" r:id="rId9"/>
    <sheet name="Sheet10" sheetId="10" r:id="rId10"/>
    <sheet name="Sheet11" sheetId="11" r:id="rId11"/>
    <sheet name="Sheet12" sheetId="12" r:id="rId12"/>
    <sheet name="Sheet13" sheetId="13" r:id="rId13"/>
    <sheet name="Sheet14" sheetId="14" r:id="rId14"/>
    <sheet name="Sheet15" sheetId="15" r:id="rId15"/>
    <sheet name="Sheet16" sheetId="16" r:id="rId16"/>
  </sheets>
  <calcPr calcId="145621"/>
</workbook>
</file>

<file path=xl/calcChain.xml><?xml version="1.0" encoding="utf-8"?>
<calcChain xmlns="http://schemas.openxmlformats.org/spreadsheetml/2006/main">
  <c r="C16" i="1" l="1"/>
  <c r="C28" i="1" s="1"/>
  <c r="C31" i="1"/>
  <c r="C30" i="1"/>
  <c r="H39" i="1"/>
  <c r="C32" i="1"/>
  <c r="C43" i="1" s="1"/>
  <c r="C27" i="1"/>
  <c r="G11" i="1"/>
  <c r="D36" i="1" s="1"/>
  <c r="C29" i="1"/>
  <c r="B43" i="1" l="1"/>
  <c r="C34" i="1"/>
  <c r="C33" i="1"/>
  <c r="G27" i="1" s="1"/>
  <c r="B36" i="1"/>
  <c r="G33" i="1" l="1"/>
  <c r="G28" i="1"/>
  <c r="G30" i="1"/>
  <c r="G20" i="1" s="1"/>
  <c r="G29" i="1" l="1"/>
  <c r="G31" i="1"/>
  <c r="E36" i="1" s="1"/>
  <c r="D41" i="1"/>
  <c r="D42" i="1" s="1"/>
  <c r="C40" i="1"/>
  <c r="C42" i="1" s="1"/>
  <c r="D40" i="1"/>
  <c r="D43" i="1" s="1"/>
  <c r="B41" i="1"/>
  <c r="B42" i="1" s="1"/>
  <c r="C44" i="1"/>
  <c r="C45" i="1" s="1"/>
  <c r="D44" i="1"/>
  <c r="B44" i="1"/>
  <c r="B45" i="1" s="1"/>
  <c r="C47" i="1" l="1"/>
  <c r="C48" i="1" s="1"/>
  <c r="B47" i="1"/>
  <c r="B48" i="1" s="1"/>
  <c r="D45" i="1"/>
  <c r="D47" i="1" s="1"/>
  <c r="D48" i="1" s="1"/>
  <c r="C46" i="1"/>
  <c r="D46" i="1"/>
  <c r="B46" i="1"/>
  <c r="G19" i="1"/>
  <c r="G32" i="1"/>
  <c r="G18" i="1" l="1"/>
  <c r="C36" i="1"/>
  <c r="F36" i="1" s="1"/>
</calcChain>
</file>

<file path=xl/sharedStrings.xml><?xml version="1.0" encoding="utf-8"?>
<sst xmlns="http://schemas.openxmlformats.org/spreadsheetml/2006/main" count="105" uniqueCount="79">
  <si>
    <t>Spreadsheet to analyze a single stage bipolar junction transistor amplifier</t>
  </si>
  <si>
    <t>Written by Kenneth A. Kuhn</t>
  </si>
  <si>
    <t>This spreadsheet calculates the bias conditions and characteristics for a CE, CB, and CC amplifier.</t>
  </si>
  <si>
    <t>This spreadsheet is based on professor Kuhn's class notes for EE351.</t>
  </si>
  <si>
    <t>See Sheet2 for detailed instructions.</t>
  </si>
  <si>
    <t>User input is in red in the shaded cells -- other cells are locked.  Calculated cells are in green.</t>
  </si>
  <si>
    <t>This spreadsheet is designed to print on a single page.</t>
  </si>
  <si>
    <t>Step 1: Specify transistor characteristics</t>
  </si>
  <si>
    <t>Polarity =</t>
  </si>
  <si>
    <t>npn</t>
  </si>
  <si>
    <t>NPN or PNP</t>
  </si>
  <si>
    <t>Using:</t>
  </si>
  <si>
    <t>Beta =</t>
  </si>
  <si>
    <t>| VBE | =</t>
  </si>
  <si>
    <t>Volts (absolute value),  typically around 0.65 Volts</t>
  </si>
  <si>
    <t>Step 2: Specify Circuit</t>
  </si>
  <si>
    <t>VCC =</t>
  </si>
  <si>
    <t>Volts</t>
  </si>
  <si>
    <t>RC =</t>
  </si>
  <si>
    <t>Ohms</t>
  </si>
  <si>
    <t>RB1 =</t>
  </si>
  <si>
    <t>COLLECTOR</t>
  </si>
  <si>
    <t>Volts, VC</t>
  </si>
  <si>
    <t>BASE</t>
  </si>
  <si>
    <t>Amps, IC</t>
  </si>
  <si>
    <t>RB2 =</t>
  </si>
  <si>
    <t>EMITTER</t>
  </si>
  <si>
    <t>Volts, VE</t>
  </si>
  <si>
    <t>RE =</t>
  </si>
  <si>
    <t>RE1 =</t>
  </si>
  <si>
    <t>Rsource =</t>
  </si>
  <si>
    <t>Rload =</t>
  </si>
  <si>
    <t>VEE =</t>
  </si>
  <si>
    <t>Step 3: Identify standard values</t>
  </si>
  <si>
    <t>Step 4: Calculate Q conditions</t>
  </si>
  <si>
    <t>IE =</t>
  </si>
  <si>
    <t>Amperes</t>
  </si>
  <si>
    <t>VBB =</t>
  </si>
  <si>
    <t>IB =</t>
  </si>
  <si>
    <t>IC =</t>
  </si>
  <si>
    <t>VE =</t>
  </si>
  <si>
    <t>RB =</t>
  </si>
  <si>
    <t>VB =</t>
  </si>
  <si>
    <t>VC =</t>
  </si>
  <si>
    <t>VBE =</t>
  </si>
  <si>
    <t>re =</t>
  </si>
  <si>
    <t>Step 5: Verify that Q conditions are proper for amplifier to work</t>
  </si>
  <si>
    <t>Step 6: Calculate parameters for each type of amplifier</t>
  </si>
  <si>
    <t>Common -&gt;</t>
  </si>
  <si>
    <t>Emitter</t>
  </si>
  <si>
    <t>Base</t>
  </si>
  <si>
    <t>Collector</t>
  </si>
  <si>
    <t>B/(B+1) =</t>
  </si>
  <si>
    <t>Ret =</t>
  </si>
  <si>
    <t>n.a.</t>
  </si>
  <si>
    <t>Ohms looking into the emitter terminal</t>
  </si>
  <si>
    <t>Rbt =</t>
  </si>
  <si>
    <t>Ohms looking into the base terminal</t>
  </si>
  <si>
    <t>Rinput =</t>
  </si>
  <si>
    <t xml:space="preserve">Ohms, Input impedance of the amplifier stage </t>
  </si>
  <si>
    <t>Routput =</t>
  </si>
  <si>
    <t>Ohms, Output impedance of the amplifier stage</t>
  </si>
  <si>
    <t>without input voltage division, no load connected</t>
  </si>
  <si>
    <t>without input voltage division, load is connected</t>
  </si>
  <si>
    <t>including all voltage divisions</t>
  </si>
  <si>
    <t>Power Gain =</t>
  </si>
  <si>
    <t>dimensionless -- Power out / power in</t>
  </si>
  <si>
    <t>decibels</t>
  </si>
  <si>
    <t>More instructions for BJT spreadsheet</t>
  </si>
  <si>
    <t>This spreadsheet is still under development</t>
  </si>
  <si>
    <t>The circuit is analyzed for CE, CB, and CC and results are at the bottom</t>
  </si>
  <si>
    <t>All voltages are measured with respect to ground</t>
  </si>
  <si>
    <t>Be sure to enter the correct polarities of power supplies</t>
  </si>
  <si>
    <t>Av =</t>
  </si>
  <si>
    <t>Avl =</t>
  </si>
  <si>
    <t>Avn =</t>
  </si>
  <si>
    <t>RB/RE =</t>
  </si>
  <si>
    <t>bjt_analyzer.xlsx</t>
  </si>
  <si>
    <t>Version 1.3 Sept. 30,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</si>
</sst>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Arial"/>
    </font>
    <font>
      <b/>
      <sz val="10"/>
      <name val="Arial"/>
    </font>
    <font>
      <sz val="10"/>
      <color indexed="17"/>
      <name val="Arial"/>
      <family val="2"/>
    </font>
    <font>
      <b/>
      <sz val="10"/>
      <color indexed="12"/>
      <name val="Arial"/>
      <family val="2"/>
    </font>
    <font>
      <u/>
      <sz val="10"/>
      <name val="Arial"/>
      <family val="2"/>
    </font>
    <font>
      <sz val="10"/>
      <color indexed="8"/>
      <name val="Arial"/>
      <family val="2"/>
    </font>
    <font>
      <sz val="10"/>
      <color indexed="17"/>
      <name val="Arial"/>
      <family val="2"/>
    </font>
    <font>
      <sz val="10"/>
      <color indexed="20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sz val="8"/>
      <name val="Arial"/>
      <family val="2"/>
    </font>
    <font>
      <sz val="10"/>
      <color rgb="FF0070C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2" fillId="0" borderId="0" xfId="0" applyFont="1"/>
    <xf numFmtId="2" fontId="2" fillId="0" borderId="0" xfId="0" applyNumberFormat="1" applyFont="1"/>
    <xf numFmtId="0" fontId="0" fillId="0" borderId="0" xfId="0" applyAlignment="1">
      <alignment horizontal="right"/>
    </xf>
    <xf numFmtId="0" fontId="2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right"/>
    </xf>
    <xf numFmtId="1" fontId="2" fillId="0" borderId="0" xfId="0" applyNumberFormat="1" applyFont="1"/>
    <xf numFmtId="48" fontId="2" fillId="0" borderId="0" xfId="0" applyNumberFormat="1" applyFont="1"/>
    <xf numFmtId="2" fontId="5" fillId="0" borderId="0" xfId="0" applyNumberFormat="1" applyFont="1" applyAlignment="1">
      <alignment horizontal="center"/>
    </xf>
    <xf numFmtId="0" fontId="7" fillId="0" borderId="0" xfId="0" applyFont="1" applyAlignment="1">
      <alignment horizontal="right"/>
    </xf>
    <xf numFmtId="2" fontId="6" fillId="0" borderId="0" xfId="0" applyNumberFormat="1" applyFont="1"/>
    <xf numFmtId="0" fontId="8" fillId="0" borderId="0" xfId="0" applyFont="1"/>
    <xf numFmtId="0" fontId="9" fillId="2" borderId="0" xfId="0" applyFont="1" applyFill="1" applyAlignment="1" applyProtection="1">
      <alignment horizontal="right"/>
      <protection locked="0"/>
    </xf>
    <xf numFmtId="0" fontId="9" fillId="2" borderId="0" xfId="0" applyFont="1" applyFill="1" applyProtection="1">
      <protection locked="0"/>
    </xf>
    <xf numFmtId="48" fontId="9" fillId="2" borderId="0" xfId="0" applyNumberFormat="1" applyFont="1" applyFill="1" applyProtection="1">
      <protection locked="0"/>
    </xf>
    <xf numFmtId="0" fontId="10" fillId="0" borderId="0" xfId="0" applyFont="1"/>
    <xf numFmtId="2" fontId="11" fillId="0" borderId="0" xfId="0" applyNumberFormat="1" applyFont="1"/>
    <xf numFmtId="0" fontId="11" fillId="0" borderId="0" xfId="0" applyFont="1"/>
    <xf numFmtId="3" fontId="2" fillId="0" borderId="0" xfId="0" applyNumberFormat="1" applyFont="1"/>
    <xf numFmtId="4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tabSelected="1" workbookViewId="0">
      <selection activeCell="A9" sqref="A9"/>
    </sheetView>
  </sheetViews>
  <sheetFormatPr defaultRowHeight="12.75" x14ac:dyDescent="0.2"/>
  <cols>
    <col min="1" max="1" width="12.28515625" customWidth="1"/>
    <col min="2" max="3" width="10.5703125" customWidth="1"/>
    <col min="4" max="4" width="10.85546875" customWidth="1"/>
  </cols>
  <sheetData>
    <row r="1" spans="1:7" x14ac:dyDescent="0.2">
      <c r="A1" s="1" t="s">
        <v>0</v>
      </c>
      <c r="B1" s="1"/>
      <c r="C1" s="1"/>
      <c r="D1" s="1"/>
      <c r="E1" s="1"/>
      <c r="F1" s="1"/>
      <c r="G1" s="1"/>
    </row>
    <row r="2" spans="1:7" x14ac:dyDescent="0.2">
      <c r="A2" s="13" t="s">
        <v>77</v>
      </c>
      <c r="B2" s="1"/>
      <c r="C2" s="1" t="s">
        <v>1</v>
      </c>
      <c r="D2" s="1"/>
      <c r="E2" s="1"/>
      <c r="F2" s="13" t="s">
        <v>78</v>
      </c>
      <c r="G2" s="1"/>
    </row>
    <row r="4" spans="1:7" x14ac:dyDescent="0.2">
      <c r="A4" t="s">
        <v>2</v>
      </c>
    </row>
    <row r="5" spans="1:7" x14ac:dyDescent="0.2">
      <c r="A5" t="s">
        <v>3</v>
      </c>
    </row>
    <row r="6" spans="1:7" x14ac:dyDescent="0.2">
      <c r="A6" t="s">
        <v>4</v>
      </c>
    </row>
    <row r="7" spans="1:7" x14ac:dyDescent="0.2">
      <c r="A7" t="s">
        <v>5</v>
      </c>
    </row>
    <row r="8" spans="1:7" x14ac:dyDescent="0.2">
      <c r="A8" t="s">
        <v>6</v>
      </c>
    </row>
    <row r="10" spans="1:7" x14ac:dyDescent="0.2">
      <c r="A10" s="6" t="s">
        <v>7</v>
      </c>
    </row>
    <row r="11" spans="1:7" x14ac:dyDescent="0.2">
      <c r="B11" t="s">
        <v>8</v>
      </c>
      <c r="C11" s="14" t="s">
        <v>9</v>
      </c>
      <c r="D11" t="s">
        <v>10</v>
      </c>
      <c r="F11" s="4" t="s">
        <v>11</v>
      </c>
      <c r="G11" s="2" t="str">
        <f>IF(UPPER(C11)="PNP","PNP","NPN")</f>
        <v>NPN</v>
      </c>
    </row>
    <row r="12" spans="1:7" x14ac:dyDescent="0.2">
      <c r="B12" t="s">
        <v>12</v>
      </c>
      <c r="C12" s="15">
        <v>150</v>
      </c>
    </row>
    <row r="13" spans="1:7" x14ac:dyDescent="0.2">
      <c r="B13" t="s">
        <v>13</v>
      </c>
      <c r="C13" s="15">
        <v>0.65</v>
      </c>
      <c r="D13" t="s">
        <v>14</v>
      </c>
    </row>
    <row r="15" spans="1:7" x14ac:dyDescent="0.2">
      <c r="A15" s="6" t="s">
        <v>15</v>
      </c>
    </row>
    <row r="16" spans="1:7" x14ac:dyDescent="0.2">
      <c r="C16" s="17">
        <f>F16</f>
        <v>12</v>
      </c>
      <c r="E16" s="4" t="s">
        <v>16</v>
      </c>
      <c r="F16" s="15">
        <v>12</v>
      </c>
      <c r="G16" t="s">
        <v>17</v>
      </c>
    </row>
    <row r="17" spans="1:8" x14ac:dyDescent="0.2">
      <c r="B17" s="4" t="s">
        <v>20</v>
      </c>
      <c r="C17" s="16">
        <v>47000</v>
      </c>
      <c r="D17" t="s">
        <v>19</v>
      </c>
      <c r="E17" s="4" t="s">
        <v>18</v>
      </c>
      <c r="F17" s="16">
        <v>0</v>
      </c>
      <c r="G17" t="s">
        <v>19</v>
      </c>
    </row>
    <row r="18" spans="1:8" x14ac:dyDescent="0.2">
      <c r="A18" s="11"/>
      <c r="E18" s="1" t="s">
        <v>21</v>
      </c>
      <c r="G18" s="3">
        <f>G32</f>
        <v>12</v>
      </c>
      <c r="H18" t="s">
        <v>22</v>
      </c>
    </row>
    <row r="19" spans="1:8" x14ac:dyDescent="0.2">
      <c r="D19" s="1" t="s">
        <v>23</v>
      </c>
      <c r="G19" s="9">
        <f>G29</f>
        <v>3.3744958650751642E-3</v>
      </c>
      <c r="H19" t="s">
        <v>24</v>
      </c>
    </row>
    <row r="20" spans="1:8" x14ac:dyDescent="0.2">
      <c r="E20" s="1" t="s">
        <v>26</v>
      </c>
      <c r="G20" s="3">
        <f>G30</f>
        <v>6.7939850083513296</v>
      </c>
      <c r="H20" t="s">
        <v>27</v>
      </c>
    </row>
    <row r="21" spans="1:8" x14ac:dyDescent="0.2">
      <c r="A21" s="11"/>
      <c r="B21" s="4" t="s">
        <v>25</v>
      </c>
      <c r="C21" s="16">
        <v>100000</v>
      </c>
      <c r="D21" t="s">
        <v>19</v>
      </c>
      <c r="E21" s="4" t="s">
        <v>28</v>
      </c>
      <c r="F21" s="16">
        <v>2000</v>
      </c>
      <c r="G21" t="s">
        <v>19</v>
      </c>
    </row>
    <row r="22" spans="1:8" x14ac:dyDescent="0.2">
      <c r="C22" s="17">
        <v>0</v>
      </c>
      <c r="E22" s="4" t="s">
        <v>29</v>
      </c>
      <c r="F22" s="15">
        <v>0</v>
      </c>
      <c r="G22" t="s">
        <v>19</v>
      </c>
    </row>
    <row r="23" spans="1:8" x14ac:dyDescent="0.2">
      <c r="B23" s="4" t="s">
        <v>30</v>
      </c>
      <c r="C23" s="16">
        <v>0.1</v>
      </c>
      <c r="D23" t="s">
        <v>19</v>
      </c>
      <c r="E23" s="4" t="s">
        <v>32</v>
      </c>
      <c r="F23" s="17">
        <v>0</v>
      </c>
      <c r="G23" t="s">
        <v>17</v>
      </c>
    </row>
    <row r="24" spans="1:8" x14ac:dyDescent="0.2">
      <c r="B24" s="4" t="s">
        <v>31</v>
      </c>
      <c r="C24" s="16">
        <v>3000</v>
      </c>
      <c r="D24" t="s">
        <v>19</v>
      </c>
    </row>
    <row r="26" spans="1:8" x14ac:dyDescent="0.2">
      <c r="A26" s="6" t="s">
        <v>33</v>
      </c>
      <c r="F26" s="6" t="s">
        <v>34</v>
      </c>
    </row>
    <row r="27" spans="1:8" x14ac:dyDescent="0.2">
      <c r="B27" s="4" t="s">
        <v>32</v>
      </c>
      <c r="C27" s="18">
        <f>F23</f>
        <v>0</v>
      </c>
      <c r="D27" t="s">
        <v>17</v>
      </c>
      <c r="F27" s="4" t="s">
        <v>35</v>
      </c>
      <c r="G27" s="9">
        <f>(C28-C27-C33)/(C30+C31/(C12+1))</f>
        <v>3.3969925041756649E-3</v>
      </c>
      <c r="H27" t="s">
        <v>36</v>
      </c>
    </row>
    <row r="28" spans="1:8" x14ac:dyDescent="0.2">
      <c r="B28" s="4" t="s">
        <v>37</v>
      </c>
      <c r="C28" s="18">
        <f>C16*C21/(C17+C21)+C22*C17/(C17+C21)</f>
        <v>8.1632653061224492</v>
      </c>
      <c r="D28" t="s">
        <v>17</v>
      </c>
      <c r="F28" s="4" t="s">
        <v>38</v>
      </c>
      <c r="G28" s="9">
        <f>G27/(C12+1)</f>
        <v>2.2496639100501094E-5</v>
      </c>
      <c r="H28" t="s">
        <v>36</v>
      </c>
    </row>
    <row r="29" spans="1:8" x14ac:dyDescent="0.2">
      <c r="B29" s="4" t="s">
        <v>16</v>
      </c>
      <c r="C29" s="18">
        <f>F16</f>
        <v>12</v>
      </c>
      <c r="D29" t="s">
        <v>17</v>
      </c>
      <c r="F29" s="4" t="s">
        <v>39</v>
      </c>
      <c r="G29" s="9">
        <f>G28*C12</f>
        <v>3.3744958650751642E-3</v>
      </c>
      <c r="H29" t="s">
        <v>36</v>
      </c>
    </row>
    <row r="30" spans="1:8" x14ac:dyDescent="0.2">
      <c r="B30" s="4" t="s">
        <v>28</v>
      </c>
      <c r="C30" s="20">
        <f>F21</f>
        <v>2000</v>
      </c>
      <c r="D30" t="s">
        <v>19</v>
      </c>
      <c r="F30" s="4" t="s">
        <v>40</v>
      </c>
      <c r="G30" s="18">
        <f>C27+G27*C30</f>
        <v>6.7939850083513296</v>
      </c>
      <c r="H30" t="s">
        <v>17</v>
      </c>
    </row>
    <row r="31" spans="1:8" x14ac:dyDescent="0.2">
      <c r="B31" s="4" t="s">
        <v>41</v>
      </c>
      <c r="C31" s="20">
        <f>C17*C21/(C17+C21+0.000000001)</f>
        <v>31972.789115646043</v>
      </c>
      <c r="D31" t="s">
        <v>19</v>
      </c>
      <c r="F31" s="4" t="s">
        <v>42</v>
      </c>
      <c r="G31" s="18">
        <f>C28-G28*C31</f>
        <v>7.4439850083513308</v>
      </c>
      <c r="H31" t="s">
        <v>17</v>
      </c>
    </row>
    <row r="32" spans="1:8" x14ac:dyDescent="0.2">
      <c r="B32" s="4" t="s">
        <v>18</v>
      </c>
      <c r="C32" s="8">
        <f>F17</f>
        <v>0</v>
      </c>
      <c r="D32" t="s">
        <v>19</v>
      </c>
      <c r="F32" s="4" t="s">
        <v>43</v>
      </c>
      <c r="G32" s="18">
        <f>C29-G29*C32</f>
        <v>12</v>
      </c>
      <c r="H32" t="s">
        <v>17</v>
      </c>
    </row>
    <row r="33" spans="1:8" x14ac:dyDescent="0.2">
      <c r="B33" s="4" t="s">
        <v>44</v>
      </c>
      <c r="C33" s="19">
        <f>IF(G11="NPN",ABS(C13),-ABS(C13))</f>
        <v>0.65</v>
      </c>
      <c r="D33" t="s">
        <v>17</v>
      </c>
      <c r="F33" s="4" t="s">
        <v>45</v>
      </c>
      <c r="G33" s="3">
        <f>ABS(0.026/G27)</f>
        <v>7.6538290761725776</v>
      </c>
      <c r="H33" t="s">
        <v>19</v>
      </c>
    </row>
    <row r="34" spans="1:8" x14ac:dyDescent="0.2">
      <c r="B34" s="4" t="s">
        <v>76</v>
      </c>
      <c r="C34" s="12">
        <f>C31/C30</f>
        <v>15.986394557823022</v>
      </c>
    </row>
    <row r="35" spans="1:8" x14ac:dyDescent="0.2">
      <c r="A35" s="6" t="s">
        <v>46</v>
      </c>
    </row>
    <row r="36" spans="1:8" x14ac:dyDescent="0.2">
      <c r="B36" s="4" t="str">
        <f>IF(G11="NPN","VC ?&gt; VB","VC ?&lt; VB")</f>
        <v>VC ?&gt; VB</v>
      </c>
      <c r="C36" s="5" t="str">
        <f>IF(G11="NPN",IF(G32&gt;G31,"YES","NO"),IF(G32&lt;G31,"YES","NO"))</f>
        <v>YES</v>
      </c>
      <c r="D36" s="4" t="str">
        <f>IF(G11="NPN","VB ?&gt; VE","VB ?&lt; VE")</f>
        <v>VB ?&gt; VE</v>
      </c>
      <c r="E36" s="5" t="str">
        <f>IF(G11="NPN",IF(G31&gt;G30,"YES","NO"),IF(G31&lt;G30,"YES","NO"))</f>
        <v>YES</v>
      </c>
      <c r="F36" s="2" t="str">
        <f>IF(AND(C36="YES",E36="YES"),"AMPLIFIER WORKS","DOES NOT WORK")</f>
        <v>AMPLIFIER WORKS</v>
      </c>
    </row>
    <row r="38" spans="1:8" x14ac:dyDescent="0.2">
      <c r="A38" s="6" t="s">
        <v>47</v>
      </c>
    </row>
    <row r="39" spans="1:8" x14ac:dyDescent="0.2">
      <c r="A39" s="7" t="s">
        <v>48</v>
      </c>
      <c r="B39" s="7" t="s">
        <v>49</v>
      </c>
      <c r="C39" s="7" t="s">
        <v>50</v>
      </c>
      <c r="D39" s="7" t="s">
        <v>51</v>
      </c>
      <c r="G39" t="s">
        <v>52</v>
      </c>
      <c r="H39" s="2">
        <f>C12/(C12+1)</f>
        <v>0.99337748344370858</v>
      </c>
    </row>
    <row r="40" spans="1:8" x14ac:dyDescent="0.2">
      <c r="A40" s="4" t="s">
        <v>53</v>
      </c>
      <c r="B40" s="10" t="s">
        <v>54</v>
      </c>
      <c r="C40" s="3">
        <f>G33</f>
        <v>7.6538290761725776</v>
      </c>
      <c r="D40" s="3">
        <f>G33+((C31*C23)/(C31+C23))/(C12+1)</f>
        <v>7.6544913257569158</v>
      </c>
      <c r="E40" t="s">
        <v>55</v>
      </c>
    </row>
    <row r="41" spans="1:8" x14ac:dyDescent="0.2">
      <c r="A41" s="4" t="s">
        <v>56</v>
      </c>
      <c r="B41" s="21">
        <f>(C12+1)*(G33+(C30*F22)/(C30+F22))</f>
        <v>1155.7281905020593</v>
      </c>
      <c r="C41" s="10" t="s">
        <v>54</v>
      </c>
      <c r="D41" s="21">
        <f>(C12+1)*(G33+(C30*(F22+C24)/(C30+(F22+C24))))</f>
        <v>182355.72819050206</v>
      </c>
      <c r="E41" t="s">
        <v>57</v>
      </c>
    </row>
    <row r="42" spans="1:8" x14ac:dyDescent="0.2">
      <c r="A42" s="4" t="s">
        <v>58</v>
      </c>
      <c r="B42" s="21">
        <f>B41*C31/(B41+C31)</f>
        <v>1115.4092218631195</v>
      </c>
      <c r="C42" s="21">
        <f>F22+C40*C30/(C40+C30)</f>
        <v>7.6246501915068778</v>
      </c>
      <c r="D42" s="21">
        <f>D41*C31/(D41+C31)</f>
        <v>27203.198691179226</v>
      </c>
      <c r="E42" t="s">
        <v>59</v>
      </c>
    </row>
    <row r="43" spans="1:8" x14ac:dyDescent="0.2">
      <c r="A43" s="4" t="s">
        <v>60</v>
      </c>
      <c r="B43" s="3">
        <f>C32</f>
        <v>0</v>
      </c>
      <c r="C43" s="3">
        <f>C32</f>
        <v>0</v>
      </c>
      <c r="D43" s="3">
        <f>F22+D40*C30/(D40+C30)</f>
        <v>7.6253074010780253</v>
      </c>
      <c r="E43" t="s">
        <v>61</v>
      </c>
    </row>
    <row r="44" spans="1:8" x14ac:dyDescent="0.2">
      <c r="A44" s="4" t="s">
        <v>73</v>
      </c>
      <c r="B44" s="3">
        <f>-H39*F17/(G33+C30*F22/(C30+F22))</f>
        <v>0</v>
      </c>
      <c r="C44" s="3">
        <f>(G33/(F22+G33))*H39*F17/G33</f>
        <v>0</v>
      </c>
      <c r="D44" s="3">
        <f>C30/(G33+C30)</f>
        <v>0.99618767490424653</v>
      </c>
      <c r="E44" t="s">
        <v>62</v>
      </c>
    </row>
    <row r="45" spans="1:8" x14ac:dyDescent="0.2">
      <c r="A45" s="4" t="s">
        <v>74</v>
      </c>
      <c r="B45" s="3">
        <f>B44*$C$24/(B43+$C$24)</f>
        <v>0</v>
      </c>
      <c r="C45" s="3">
        <f>C44*$C$24/(C43+$C$24)</f>
        <v>0</v>
      </c>
      <c r="D45" s="3">
        <f>D44*$C$24/(D43+$C$24)</f>
        <v>0.99366201546401733</v>
      </c>
      <c r="E45" t="s">
        <v>63</v>
      </c>
    </row>
    <row r="46" spans="1:8" x14ac:dyDescent="0.2">
      <c r="A46" s="4" t="s">
        <v>75</v>
      </c>
      <c r="B46" s="3">
        <f>(B42/(C23+B42))*B44*(C24/(B43+C24))</f>
        <v>0</v>
      </c>
      <c r="C46" s="3">
        <f>(C42/(C23+C42))*C44*(C24/(C43+C24))</f>
        <v>0</v>
      </c>
      <c r="D46" s="3">
        <f>(D42/(C23+D42))*D44*(C24/(D43+C24))</f>
        <v>0.99365836273782859</v>
      </c>
      <c r="E46" t="s">
        <v>64</v>
      </c>
    </row>
    <row r="47" spans="1:8" x14ac:dyDescent="0.2">
      <c r="A47" s="4" t="s">
        <v>65</v>
      </c>
      <c r="B47" s="3">
        <f>B45^2*B42/$C$24</f>
        <v>0</v>
      </c>
      <c r="C47" s="3">
        <f>C45^2*C42/$C$24</f>
        <v>0</v>
      </c>
      <c r="D47" s="3">
        <f>D45^2*D42/$C$24</f>
        <v>8.9531548465692996</v>
      </c>
      <c r="E47" t="s">
        <v>66</v>
      </c>
    </row>
    <row r="48" spans="1:8" x14ac:dyDescent="0.2">
      <c r="A48" s="4" t="s">
        <v>65</v>
      </c>
      <c r="B48" s="3" t="e">
        <f>10*LOG(B47)</f>
        <v>#NUM!</v>
      </c>
      <c r="C48" s="3" t="e">
        <f>10*LOG(C47)</f>
        <v>#NUM!</v>
      </c>
      <c r="D48" s="3">
        <f>10*LOG(D47)</f>
        <v>9.5197609576612017</v>
      </c>
      <c r="E48" t="s">
        <v>67</v>
      </c>
    </row>
    <row r="49" spans="2:4" x14ac:dyDescent="0.2">
      <c r="B49" s="3"/>
      <c r="C49" s="3"/>
      <c r="D49" s="3"/>
    </row>
  </sheetData>
  <sheetProtection sheet="1" objects="1" scenarios="1"/>
  <phoneticPr fontId="0" type="noConversion"/>
  <pageMargins left="0.75" right="0.75" top="1" bottom="1" header="0.5" footer="0.5"/>
  <pageSetup orientation="portrait" r:id="rId1"/>
  <headerFooter alignWithMargins="0">
    <oddHeader>&amp;A</oddHeader>
    <oddFooter>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>
      <selection activeCell="D15" sqref="D15"/>
    </sheetView>
  </sheetViews>
  <sheetFormatPr defaultRowHeight="12.75" x14ac:dyDescent="0.2"/>
  <sheetData>
    <row r="1" spans="1:1" x14ac:dyDescent="0.2">
      <c r="A1" s="1" t="s">
        <v>68</v>
      </c>
    </row>
    <row r="3" spans="1:1" x14ac:dyDescent="0.2">
      <c r="A3" t="s">
        <v>69</v>
      </c>
    </row>
    <row r="4" spans="1:1" x14ac:dyDescent="0.2">
      <c r="A4" t="s">
        <v>70</v>
      </c>
    </row>
    <row r="5" spans="1:1" x14ac:dyDescent="0.2">
      <c r="A5" t="s">
        <v>71</v>
      </c>
    </row>
    <row r="6" spans="1:1" x14ac:dyDescent="0.2">
      <c r="A6" t="s">
        <v>72</v>
      </c>
    </row>
    <row r="8" spans="1:1" x14ac:dyDescent="0.2">
      <c r="A8" s="1"/>
    </row>
  </sheetData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Sheet1</vt:lpstr>
      <vt:lpstr>Sheet2</vt:lpstr>
      <vt:lpstr>Sheet3</vt:lpstr>
      <vt:lpstr>Sheet4</vt:lpstr>
      <vt:lpstr>Sheet5</vt:lpstr>
      <vt:lpstr>Sheet6</vt:lpstr>
      <vt:lpstr>Sheet7</vt:lpstr>
      <vt:lpstr>Sheet8</vt:lpstr>
      <vt:lpstr>Sheet9</vt:lpstr>
      <vt:lpstr>Sheet10</vt:lpstr>
      <vt:lpstr>Sheet11</vt:lpstr>
      <vt:lpstr>Sheet12</vt:lpstr>
      <vt:lpstr>Sheet13</vt:lpstr>
      <vt:lpstr>Sheet14</vt:lpstr>
      <vt:lpstr>Sheet15</vt:lpstr>
      <vt:lpstr>Sheet16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Kenneth A. Kuhn</dc:creator>
  <cp:lastModifiedBy>Kenneth Kuhn</cp:lastModifiedBy>
  <cp:lastPrinted>2015-09-30T21:00:52Z</cp:lastPrinted>
  <dcterms:created xsi:type="dcterms:W3CDTF">1997-11-14T01:49:28Z</dcterms:created>
  <dcterms:modified xsi:type="dcterms:W3CDTF">2015-10-01T20:51:09Z</dcterms:modified>
</cp:coreProperties>
</file>