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<sst xmlns="http://schemas.openxmlformats.org/spreadsheetml/2006/main" count="81" uniqueCount="74">
  <si>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Circuit Data:</t>
  </si>
  <si>
    <t>volts, VCC</t>
  </si>
  <si>
    <t>ohms. RB1</t>
  </si>
  <si>
    <t>ohms, RB2</t>
  </si>
  <si>
    <t>ohms, RE</t>
  </si>
  <si>
    <t>ohms, RE1</t>
  </si>
  <si>
    <t>ohms, RC</t>
  </si>
  <si>
    <t>ohms, Rsource</t>
  </si>
  <si>
    <t>ohms Rload</t>
  </si>
  <si>
    <t>volts, VBE -- nominally 0.65</t>
  </si>
  <si>
    <t>beta of transistor -- nominally 150</t>
  </si>
  <si>
    <t>farads, Cinput_coupling</t>
  </si>
  <si>
    <t>farads, Cemitter_bypass</t>
  </si>
  <si>
    <t>farads, Coutput_coupling</t>
  </si>
  <si>
    <t>farads, CBC</t>
  </si>
  <si>
    <t>Common Emitter Circuit:</t>
  </si>
  <si>
    <t>Transistor Data:</t>
  </si>
  <si>
    <t>farads, Cload</t>
  </si>
  <si>
    <t>Bias Analysis:</t>
  </si>
  <si>
    <t>volts, VBB</t>
  </si>
  <si>
    <t>ohms, RB</t>
  </si>
  <si>
    <t>amperes, IE</t>
  </si>
  <si>
    <t>amperes, IC</t>
  </si>
  <si>
    <t>amperes, IB</t>
  </si>
  <si>
    <t>volts, VC</t>
  </si>
  <si>
    <t>volts, VE</t>
  </si>
  <si>
    <t>volts, VB</t>
  </si>
  <si>
    <t>ohms, re</t>
  </si>
  <si>
    <t>ohms, rbt</t>
  </si>
  <si>
    <t>ohms, RE'</t>
  </si>
  <si>
    <t>ohms, Rin</t>
  </si>
  <si>
    <t>ohms, Rout</t>
  </si>
  <si>
    <t>input voltage division</t>
  </si>
  <si>
    <t>output voltage division</t>
  </si>
  <si>
    <t>Power gain</t>
  </si>
  <si>
    <t>ce_amplifier.xls</t>
  </si>
  <si>
    <t>|Avl|, loaded gain</t>
  </si>
  <si>
    <t>|Avn|, net gain</t>
  </si>
  <si>
    <t>AC Analysis:</t>
  </si>
  <si>
    <t>Low cutoff frequencies</t>
  </si>
  <si>
    <t>Hz, Fcl composite</t>
  </si>
  <si>
    <t>Hz, Fcl, emitter</t>
  </si>
  <si>
    <t>Hz, Fcl, output</t>
  </si>
  <si>
    <t>High cutoff frequencies</t>
  </si>
  <si>
    <t>farads, Cmiller</t>
  </si>
  <si>
    <t>Hz, Fch, input</t>
  </si>
  <si>
    <t>Hz, Fch, output</t>
  </si>
  <si>
    <t>Hz, Fcl, input</t>
  </si>
  <si>
    <t>Frequency Response Analysis:</t>
  </si>
  <si>
    <t>farads, Cstray input</t>
  </si>
  <si>
    <t>farads, Cinput total</t>
  </si>
  <si>
    <t>farads, CBE</t>
  </si>
  <si>
    <t>dB power gain</t>
  </si>
  <si>
    <t>farads, Cfeedback, collector to base</t>
  </si>
  <si>
    <t>|Av|, unloaded voltage gain</t>
  </si>
  <si>
    <t>RB/RE (for reference)</t>
  </si>
  <si>
    <t>Design assist:</t>
  </si>
  <si>
    <t>Hz, Fcl composite estimate</t>
  </si>
  <si>
    <t>Hz, Fch, composite estimate</t>
  </si>
  <si>
    <t>volts, target VCQ</t>
  </si>
  <si>
    <t>RB/RE to use</t>
  </si>
  <si>
    <t>volts, target VBQ</t>
  </si>
  <si>
    <t>amperes, ICQ</t>
  </si>
  <si>
    <t>amperes, IEQ</t>
  </si>
  <si>
    <t>ohms, RB1</t>
  </si>
  <si>
    <t>Calculations:</t>
  </si>
  <si>
    <t>VCC/VBB</t>
  </si>
  <si>
    <t>Spreadsheet to compute frequency response of single stage common-emitter amplifier</t>
  </si>
  <si>
    <t>written by Kenneth A. Kuhn</t>
  </si>
  <si>
    <t>version 1.0, Nov. 24, 2009</t>
  </si>
  <si>
    <t>Instructions:</t>
  </si>
  <si>
    <t>User input cells are red with gray background.  All other cells are protected to prevent accidents.</t>
  </si>
  <si>
    <t>Results are in green with important results in bold.</t>
  </si>
  <si>
    <t>Ignore the plum colored cells as those are only to assist in setting up problems.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</si>
</sst>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</numFmts>
  <fonts count="13">
    <font>
      <sz val="10"/>
      <name val="Arial"/>
      <family val="0"/>
    </font>
    <font>
      <sz val="8"/>
      <name val="Arial"/>
      <family val="0"/>
    </font>
    <font>
      <b/>
      <u val="single"/>
      <sz val="10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61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48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 applyProtection="1">
      <alignment/>
      <protection locked="0"/>
    </xf>
    <xf numFmtId="3" fontId="12" fillId="2" borderId="0" xfId="0" applyNumberFormat="1" applyFont="1" applyFill="1" applyAlignment="1" applyProtection="1">
      <alignment/>
      <protection locked="0"/>
    </xf>
    <xf numFmtId="48" fontId="12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0">
      <selection activeCell="A39" sqref="A39"/>
    </sheetView>
  </sheetViews>
  <sheetFormatPr defaultColWidth="9.140625" defaultRowHeight="12.75"/>
  <cols>
    <col min="1" max="1" width="9.421875" style="0" bestFit="1" customWidth="1"/>
    <col min="6" max="6" width="11.140625" style="0" customWidth="1"/>
  </cols>
  <sheetData>
    <row r="1" ht="12.75">
      <c r="A1" s="23" t="s">
        <v>67</v>
      </c>
    </row>
    <row r="2" spans="1:6" ht="12.75">
      <c r="A2" t="s">
        <v>35</v>
      </c>
      <c r="C2" t="s">
        <v>68</v>
      </c>
      <c r="F2" t="s">
        <v>69</v>
      </c>
    </row>
    <row r="4" ht="12.75">
      <c r="A4" s="2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10" spans="1:7" ht="12.75">
      <c r="A10" s="9" t="s">
        <v>0</v>
      </c>
      <c r="B10" s="10"/>
      <c r="F10" s="11" t="s">
        <v>18</v>
      </c>
      <c r="G10" s="12"/>
    </row>
    <row r="11" spans="1:7" ht="12.75">
      <c r="A11" s="26">
        <v>1000</v>
      </c>
      <c r="B11" s="10" t="s">
        <v>7</v>
      </c>
      <c r="F11" s="13">
        <f>A17*A19/(A18+A19)</f>
        <v>1.9230769230769231</v>
      </c>
      <c r="G11" s="12" t="s">
        <v>19</v>
      </c>
    </row>
    <row r="12" spans="1:7" ht="12.75">
      <c r="A12" s="26">
        <v>2700</v>
      </c>
      <c r="B12" s="10" t="s">
        <v>8</v>
      </c>
      <c r="F12" s="14">
        <f>1/(1/A18+1/A19)</f>
        <v>6538.461538461538</v>
      </c>
      <c r="G12" s="12" t="s">
        <v>20</v>
      </c>
    </row>
    <row r="13" spans="1:7" ht="12.75">
      <c r="A13" s="27">
        <v>0</v>
      </c>
      <c r="B13" s="10" t="s">
        <v>49</v>
      </c>
      <c r="F13" s="15">
        <f>IF(F11&gt;A29,(F11-A29)/(A20+F12/(A30+1)),0)</f>
        <v>0.002689782475325318</v>
      </c>
      <c r="G13" s="16" t="s">
        <v>21</v>
      </c>
    </row>
    <row r="14" spans="1:7" ht="12.75">
      <c r="A14" s="27">
        <v>1.5E-09</v>
      </c>
      <c r="B14" s="10" t="s">
        <v>17</v>
      </c>
      <c r="F14" s="17">
        <f>(A30/(A30+1))*F13</f>
        <v>0.0026719693463496536</v>
      </c>
      <c r="G14" s="12" t="s">
        <v>22</v>
      </c>
    </row>
    <row r="15" spans="1:7" ht="12.75">
      <c r="A15" s="10"/>
      <c r="B15" s="10"/>
      <c r="F15" s="17">
        <f>F13/(A30+1)</f>
        <v>1.7813128975664357E-05</v>
      </c>
      <c r="G15" s="12" t="s">
        <v>23</v>
      </c>
    </row>
    <row r="16" spans="1:7" ht="12.75">
      <c r="A16" s="9" t="s">
        <v>15</v>
      </c>
      <c r="B16" s="10"/>
      <c r="F16" s="13">
        <f>A17-F14*A22</f>
        <v>6.984091960951039</v>
      </c>
      <c r="G16" s="12" t="s">
        <v>24</v>
      </c>
    </row>
    <row r="17" spans="1:7" ht="12.75">
      <c r="A17" s="25">
        <v>15</v>
      </c>
      <c r="B17" s="10" t="s">
        <v>1</v>
      </c>
      <c r="F17" s="13">
        <f>F11-F15*F12</f>
        <v>1.806606464389887</v>
      </c>
      <c r="G17" s="12" t="s">
        <v>26</v>
      </c>
    </row>
    <row r="18" spans="1:7" ht="12.75">
      <c r="A18" s="26">
        <v>51000</v>
      </c>
      <c r="B18" s="10" t="s">
        <v>2</v>
      </c>
      <c r="F18" s="13">
        <f>F13*A20</f>
        <v>1.1566064643898868</v>
      </c>
      <c r="G18" s="12" t="s">
        <v>25</v>
      </c>
    </row>
    <row r="19" spans="1:7" ht="12.75">
      <c r="A19" s="26">
        <v>7500</v>
      </c>
      <c r="B19" s="10" t="s">
        <v>3</v>
      </c>
      <c r="F19" s="13">
        <f>F12/A20</f>
        <v>15.20572450805009</v>
      </c>
      <c r="G19" s="12" t="s">
        <v>55</v>
      </c>
    </row>
    <row r="20" spans="1:7" ht="12.75">
      <c r="A20" s="26">
        <v>430</v>
      </c>
      <c r="B20" s="10" t="s">
        <v>4</v>
      </c>
      <c r="F20" s="16" t="str">
        <f>IF(F16&gt;F17,IF(F13&gt;0,"Amplifier Works!","***** Amplifier does not work!!!! *****"),"***** Amplifier does not work!!!! *****")</f>
        <v>Amplifier Works!</v>
      </c>
      <c r="G20" s="12"/>
    </row>
    <row r="21" spans="1:7" ht="12.75">
      <c r="A21" s="26">
        <v>0</v>
      </c>
      <c r="B21" s="10" t="s">
        <v>5</v>
      </c>
      <c r="F21" s="12"/>
      <c r="G21" s="12"/>
    </row>
    <row r="22" spans="1:7" ht="12.75">
      <c r="A22" s="26">
        <v>3000</v>
      </c>
      <c r="B22" s="10" t="s">
        <v>6</v>
      </c>
      <c r="F22" s="11" t="s">
        <v>38</v>
      </c>
      <c r="G22" s="12"/>
    </row>
    <row r="23" spans="1:7" ht="12.75">
      <c r="A23" s="27">
        <v>3.3E-06</v>
      </c>
      <c r="B23" s="10" t="s">
        <v>11</v>
      </c>
      <c r="F23" s="13">
        <f>0.026/F13</f>
        <v>9.666209159480603</v>
      </c>
      <c r="G23" s="12" t="s">
        <v>27</v>
      </c>
    </row>
    <row r="24" spans="1:7" ht="12.75">
      <c r="A24" s="27">
        <v>0.00047</v>
      </c>
      <c r="B24" s="10" t="s">
        <v>12</v>
      </c>
      <c r="F24" s="13">
        <f>A20*A21/(A20+A21)</f>
        <v>0</v>
      </c>
      <c r="G24" s="12" t="s">
        <v>29</v>
      </c>
    </row>
    <row r="25" spans="1:7" ht="12.75">
      <c r="A25" s="27">
        <v>1E-06</v>
      </c>
      <c r="B25" s="10" t="s">
        <v>13</v>
      </c>
      <c r="F25" s="14">
        <f>(A30+1)*(F23+F24)</f>
        <v>1459.597583081571</v>
      </c>
      <c r="G25" s="12" t="s">
        <v>28</v>
      </c>
    </row>
    <row r="26" spans="1:7" ht="12.75">
      <c r="A26" s="27">
        <v>4.7E-11</v>
      </c>
      <c r="B26" s="10" t="s">
        <v>53</v>
      </c>
      <c r="F26" s="18">
        <f>1/(1/F25+1/F12)</f>
        <v>1193.2298215831377</v>
      </c>
      <c r="G26" s="16" t="s">
        <v>30</v>
      </c>
    </row>
    <row r="27" spans="1:7" ht="12.75">
      <c r="A27" s="10"/>
      <c r="B27" s="10"/>
      <c r="F27" s="18">
        <f>A22</f>
        <v>3000</v>
      </c>
      <c r="G27" s="16" t="s">
        <v>31</v>
      </c>
    </row>
    <row r="28" spans="1:7" ht="12.75">
      <c r="A28" s="9" t="s">
        <v>16</v>
      </c>
      <c r="B28" s="10"/>
      <c r="F28" s="22">
        <f>(A30/(A30+1))*A22/(F23+F24)</f>
        <v>308.30415534803694</v>
      </c>
      <c r="G28" s="16" t="s">
        <v>54</v>
      </c>
    </row>
    <row r="29" spans="1:7" ht="12.75">
      <c r="A29" s="25">
        <v>0.65</v>
      </c>
      <c r="B29" s="10" t="s">
        <v>9</v>
      </c>
      <c r="F29" s="19">
        <f>A12/(F27+A12)</f>
        <v>0.47368421052631576</v>
      </c>
      <c r="G29" s="12" t="s">
        <v>33</v>
      </c>
    </row>
    <row r="30" spans="1:7" ht="12.75">
      <c r="A30" s="25">
        <v>150</v>
      </c>
      <c r="B30" s="10" t="s">
        <v>10</v>
      </c>
      <c r="F30" s="22">
        <f>F28*F29</f>
        <v>146.03881042801748</v>
      </c>
      <c r="G30" s="16" t="s">
        <v>36</v>
      </c>
    </row>
    <row r="31" spans="1:7" ht="12.75">
      <c r="A31" s="27">
        <v>0</v>
      </c>
      <c r="B31" s="10" t="s">
        <v>51</v>
      </c>
      <c r="F31" s="19">
        <f>F26/(A11+F26)</f>
        <v>0.5440514303794343</v>
      </c>
      <c r="G31" s="12" t="s">
        <v>32</v>
      </c>
    </row>
    <row r="32" spans="1:7" ht="12.75">
      <c r="A32" s="27">
        <v>0</v>
      </c>
      <c r="B32" s="10" t="s">
        <v>14</v>
      </c>
      <c r="F32" s="21">
        <f>F30*F31</f>
        <v>79.45262370427395</v>
      </c>
      <c r="G32" s="12" t="s">
        <v>37</v>
      </c>
    </row>
    <row r="33" spans="6:7" ht="12.75">
      <c r="F33" s="21">
        <f>F30^2*F26/A12</f>
        <v>9425.337453376535</v>
      </c>
      <c r="G33" s="12" t="s">
        <v>34</v>
      </c>
    </row>
    <row r="34" spans="1:7" ht="12.75">
      <c r="A34" s="1" t="s">
        <v>56</v>
      </c>
      <c r="B34" s="2"/>
      <c r="F34" s="22">
        <f>10*LOG(F33)</f>
        <v>39.742969081102736</v>
      </c>
      <c r="G34" s="16" t="s">
        <v>52</v>
      </c>
    </row>
    <row r="35" spans="1:7" ht="12.75">
      <c r="A35" s="28">
        <v>7</v>
      </c>
      <c r="B35" s="2" t="s">
        <v>59</v>
      </c>
      <c r="F35" s="12"/>
      <c r="G35" s="12"/>
    </row>
    <row r="36" spans="1:7" ht="12.75">
      <c r="A36" s="28">
        <v>15</v>
      </c>
      <c r="B36" s="2" t="s">
        <v>60</v>
      </c>
      <c r="F36" s="11" t="s">
        <v>48</v>
      </c>
      <c r="G36" s="12"/>
    </row>
    <row r="37" spans="1:7" ht="12.75">
      <c r="A37" s="28">
        <v>1.78</v>
      </c>
      <c r="B37" s="2" t="s">
        <v>61</v>
      </c>
      <c r="F37" s="12" t="s">
        <v>39</v>
      </c>
      <c r="G37" s="12"/>
    </row>
    <row r="38" spans="1:7" ht="12.75">
      <c r="A38" s="28">
        <v>20</v>
      </c>
      <c r="B38" s="2" t="s">
        <v>40</v>
      </c>
      <c r="F38" s="21">
        <f>1/(2*PI()*(A11+F26)*A23)</f>
        <v>21.989838985088543</v>
      </c>
      <c r="G38" s="12" t="s">
        <v>47</v>
      </c>
    </row>
    <row r="39" spans="1:7" ht="12.75">
      <c r="A39" s="1" t="s">
        <v>65</v>
      </c>
      <c r="B39" s="2"/>
      <c r="F39" s="21">
        <f>1/(2*PI()*(A21+1/(1/A20+1/F23))*A24)</f>
        <v>35.81959893047616</v>
      </c>
      <c r="G39" s="12" t="s">
        <v>41</v>
      </c>
    </row>
    <row r="40" spans="1:7" ht="12.75">
      <c r="A40" s="3">
        <f>(A17-A35)/A22</f>
        <v>0.0026666666666666666</v>
      </c>
      <c r="B40" s="2" t="s">
        <v>62</v>
      </c>
      <c r="F40" s="21">
        <f>1/(2*PI()*(F27+A12)*A25)</f>
        <v>27.921919840683397</v>
      </c>
      <c r="G40" s="12" t="s">
        <v>42</v>
      </c>
    </row>
    <row r="41" spans="1:7" ht="12.75">
      <c r="A41" s="3">
        <f>((A30+1)/A30)*A40</f>
        <v>0.002684444444444444</v>
      </c>
      <c r="B41" s="2" t="s">
        <v>63</v>
      </c>
      <c r="F41" s="22">
        <f>SQRT(F38^2+F39^2+F40^2)</f>
        <v>50.4601852327143</v>
      </c>
      <c r="G41" s="16" t="s">
        <v>57</v>
      </c>
    </row>
    <row r="42" spans="1:7" ht="12.75">
      <c r="A42" s="4">
        <f>(A37-A29)/A41</f>
        <v>420.94370860927154</v>
      </c>
      <c r="B42" s="5" t="s">
        <v>4</v>
      </c>
      <c r="F42" s="12" t="s">
        <v>43</v>
      </c>
      <c r="G42" s="12"/>
    </row>
    <row r="43" spans="1:7" ht="12.75">
      <c r="A43" s="6">
        <f>A42*A36</f>
        <v>6314.155629139073</v>
      </c>
      <c r="B43" s="2" t="s">
        <v>20</v>
      </c>
      <c r="F43" s="20">
        <f>(A26+A32)*(F30+1)</f>
        <v>6.910824090116822E-09</v>
      </c>
      <c r="G43" s="12" t="s">
        <v>44</v>
      </c>
    </row>
    <row r="44" spans="1:7" ht="12.75">
      <c r="A44" s="7">
        <f>A37+(A41/(A30+1))*A43</f>
        <v>1.892251655629139</v>
      </c>
      <c r="B44" s="2" t="s">
        <v>19</v>
      </c>
      <c r="F44" s="20">
        <f>F43+A13+A31</f>
        <v>6.910824090116822E-09</v>
      </c>
      <c r="G44" s="12" t="s">
        <v>50</v>
      </c>
    </row>
    <row r="45" spans="1:7" ht="12.75">
      <c r="A45" s="7">
        <f>A17/A44</f>
        <v>7.927064011479368</v>
      </c>
      <c r="B45" s="2" t="s">
        <v>66</v>
      </c>
      <c r="F45" s="14">
        <f>1/(2*PI()*(1/(1/A11+1/F26))*F44)</f>
        <v>42330.20158942903</v>
      </c>
      <c r="G45" s="12" t="s">
        <v>45</v>
      </c>
    </row>
    <row r="46" spans="1:7" ht="12.75">
      <c r="A46" s="4">
        <f>A43*A45</f>
        <v>50052.715850628214</v>
      </c>
      <c r="B46" s="5" t="s">
        <v>64</v>
      </c>
      <c r="F46" s="14">
        <f>1/(2*PI()*(1/(1/F27+1/A12))*A14)</f>
        <v>74665.28194434596</v>
      </c>
      <c r="G46" s="12" t="s">
        <v>46</v>
      </c>
    </row>
    <row r="47" spans="1:7" ht="12.75">
      <c r="A47" s="4">
        <f>A46/(A45-1)</f>
        <v>7225.675375264618</v>
      </c>
      <c r="B47" s="5" t="s">
        <v>3</v>
      </c>
      <c r="F47" s="18">
        <f>1/SQRT(1/F45^2+1/F46^2)</f>
        <v>36824.00929747512</v>
      </c>
      <c r="G47" s="16" t="s">
        <v>58</v>
      </c>
    </row>
    <row r="48" spans="1:2" ht="12.75">
      <c r="A48" s="8">
        <f>1/(2*PI()*0.51*A38*(A11+F26))</f>
        <v>7.114359671646293E-06</v>
      </c>
      <c r="B48" s="5" t="s">
        <v>11</v>
      </c>
    </row>
    <row r="49" spans="1:2" ht="12.75">
      <c r="A49" s="8">
        <f>1/(2*PI()*0.51*A38*(A21+1/(1/A20+1/F23)))</f>
        <v>0.0016505109311101755</v>
      </c>
      <c r="B49" s="5" t="s">
        <v>12</v>
      </c>
    </row>
    <row r="50" spans="1:2" ht="12.75">
      <c r="A50" s="8">
        <f>1/(2*PI()*0.51*A38*(F27+A12))</f>
        <v>2.7374431216356265E-06</v>
      </c>
      <c r="B50" s="5" t="s">
        <v>13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cp:lastPrinted>2009-11-25T04:17:26Z</cp:lastPrinted>
  <dcterms:created xsi:type="dcterms:W3CDTF">2009-11-21T18:22:35Z</dcterms:created>
  <dcterms:modified xsi:type="dcterms:W3CDTF">2009-12-11T03:46:35Z</dcterms:modified>
  <cp:category/>
  <cp:version/>
  <cp:contentType/>
  <cp:contentStatus/>
</cp:coreProperties>
</file>