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7235" windowHeight="9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40" i="1" l="1"/>
  <c r="H51" i="1"/>
  <c r="C38" i="1" l="1"/>
  <c r="D23" i="1"/>
  <c r="Q45" i="1" l="1"/>
  <c r="Q41" i="1"/>
  <c r="Q33" i="1" s="1"/>
  <c r="Q40" i="1"/>
  <c r="H49" i="1"/>
  <c r="H31" i="1"/>
  <c r="H42" i="1"/>
  <c r="H33" i="1" s="1"/>
  <c r="L34" i="1"/>
  <c r="L33" i="1"/>
  <c r="L41" i="1" s="1"/>
  <c r="L30" i="1"/>
  <c r="L29" i="1"/>
  <c r="C30" i="1"/>
  <c r="C29" i="1"/>
  <c r="C34" i="1"/>
  <c r="C33" i="1"/>
  <c r="C42" i="1" s="1"/>
  <c r="O25" i="1"/>
  <c r="N36" i="1" s="1"/>
  <c r="C48" i="1"/>
  <c r="C40" i="1"/>
  <c r="F25" i="1"/>
  <c r="E38" i="1" s="1"/>
  <c r="C46" i="1" l="1"/>
  <c r="C47" i="1" s="1"/>
  <c r="Q47" i="1"/>
  <c r="Q48" i="1" s="1"/>
  <c r="C31" i="1"/>
  <c r="C44" i="1" s="1"/>
  <c r="L31" i="1"/>
  <c r="Q37" i="1" s="1"/>
  <c r="C32" i="1"/>
  <c r="H46" i="1" s="1"/>
  <c r="L38" i="1"/>
  <c r="L44" i="1" s="1"/>
  <c r="L36" i="1"/>
  <c r="C37" i="1"/>
  <c r="E37" i="1"/>
  <c r="C49" i="1" l="1"/>
  <c r="C50" i="1" s="1"/>
  <c r="Q38" i="1"/>
  <c r="Q46" i="1"/>
  <c r="Q49" i="1" s="1"/>
  <c r="Q50" i="1" s="1"/>
  <c r="Q51" i="1" s="1"/>
  <c r="C43" i="1"/>
  <c r="C41" i="1"/>
  <c r="H40" i="1"/>
  <c r="H38" i="1" s="1"/>
  <c r="H47" i="1"/>
  <c r="L43" i="1"/>
  <c r="H23" i="1" l="1"/>
  <c r="H52" i="1"/>
  <c r="H53" i="1" s="1"/>
  <c r="H56" i="1"/>
  <c r="H54" i="1" l="1"/>
  <c r="H55" i="1" s="1"/>
</calcChain>
</file>

<file path=xl/sharedStrings.xml><?xml version="1.0" encoding="utf-8"?>
<sst xmlns="http://schemas.openxmlformats.org/spreadsheetml/2006/main" count="155" uniqueCount="78">
  <si>
    <t>Common-emitter design</t>
  </si>
  <si>
    <t>VCC</t>
  </si>
  <si>
    <t>RL</t>
  </si>
  <si>
    <t>Avl</t>
  </si>
  <si>
    <t>VBE @ 25 C</t>
  </si>
  <si>
    <t>dVBE/C</t>
  </si>
  <si>
    <t>Bmin</t>
  </si>
  <si>
    <t>Bmax</t>
  </si>
  <si>
    <t>mode: 1 = large signal, 0 = small signal design</t>
  </si>
  <si>
    <t>min to</t>
  </si>
  <si>
    <t>max</t>
  </si>
  <si>
    <t>VBEmax @ Tmin =</t>
  </si>
  <si>
    <t>VBEmin @ Tmax =</t>
  </si>
  <si>
    <t>VBBmin =</t>
  </si>
  <si>
    <t>VBEnom =</t>
  </si>
  <si>
    <t>(RB/RE)max =</t>
  </si>
  <si>
    <t>Bnom =</t>
  </si>
  <si>
    <t>mode</t>
  </si>
  <si>
    <t>ICQ =</t>
  </si>
  <si>
    <t>k (typically ~0.2 (low distortion) to ~0.5 (moderate distortion)) for linearity</t>
  </si>
  <si>
    <t>RB =</t>
  </si>
  <si>
    <t>Calculations:</t>
  </si>
  <si>
    <t>Specifications, values:</t>
  </si>
  <si>
    <t>Avl (magnitude)</t>
  </si>
  <si>
    <t>Avl using</t>
  </si>
  <si>
    <t>re =</t>
  </si>
  <si>
    <t>IE =</t>
  </si>
  <si>
    <t>IEQ =</t>
  </si>
  <si>
    <t>amperes</t>
  </si>
  <si>
    <t>ohms</t>
  </si>
  <si>
    <t>RE' =</t>
  </si>
  <si>
    <t>RC||RL =</t>
  </si>
  <si>
    <t>Common-collector design</t>
  </si>
  <si>
    <t>VCEsat (typically ~0.2 for low currents)</t>
  </si>
  <si>
    <t>VEQ opt. =</t>
  </si>
  <si>
    <t xml:space="preserve">VBB = </t>
  </si>
  <si>
    <t>volts</t>
  </si>
  <si>
    <t>|</t>
  </si>
  <si>
    <t>KB, target Icmax/Icmin due to beta variation</t>
  </si>
  <si>
    <t>Transistor characteristics</t>
  </si>
  <si>
    <t>Temperature range</t>
  </si>
  <si>
    <t>Stability specifications</t>
  </si>
  <si>
    <t>deg. C, Tmin</t>
  </si>
  <si>
    <t>deg. C, Tmax</t>
  </si>
  <si>
    <t>Characteristics common to both common-emitter and common-collector designs</t>
  </si>
  <si>
    <t>ohms (spec. Avl too high if negative)</t>
  </si>
  <si>
    <t>Analysis:</t>
  </si>
  <si>
    <t>rbt</t>
  </si>
  <si>
    <t>Rin</t>
  </si>
  <si>
    <t>P. gain</t>
  </si>
  <si>
    <t>P.gain, dB</t>
  </si>
  <si>
    <t>re</t>
  </si>
  <si>
    <t>RE||RL</t>
  </si>
  <si>
    <t>Spreadsheet to perform design and analysis of transistor circuits</t>
  </si>
  <si>
    <t>transistor_designer.xlsx</t>
  </si>
  <si>
    <t>written by Kenneth A. Kuhn</t>
  </si>
  <si>
    <t>version 1.0</t>
  </si>
  <si>
    <t>Instructions:</t>
  </si>
  <si>
    <t>To analyze a circuit then ignore the design and enter values (in red) and results are in blue.</t>
  </si>
  <si>
    <t>This spreadsheet is for NPN only -- will work for PNP with appropriate polarity adjustments.</t>
  </si>
  <si>
    <t>Design calculations are in bold green.</t>
  </si>
  <si>
    <t>Analysis of user input is in bold blue.</t>
  </si>
  <si>
    <t>User input cells are in bold red.  Other cells protected to prevent accidental edits.</t>
  </si>
  <si>
    <t>KT, target  Icmax/Icmin due to temperature variation</t>
  </si>
  <si>
    <t>Av</t>
  </si>
  <si>
    <t>VCBmin (typically ~2 volts min but can be lower at low frequencies)</t>
  </si>
  <si>
    <t>Oct. 7, 2012</t>
  </si>
  <si>
    <t>For common-emitter the spreadsheet always designs for Avl.  To design for Av just use a huge RL.</t>
  </si>
  <si>
    <t>RC, choosen</t>
  </si>
  <si>
    <t>VCQ, choosen</t>
  </si>
  <si>
    <t>RE, choosen</t>
  </si>
  <si>
    <t>RB1, choosen</t>
  </si>
  <si>
    <t>RB2, choosen</t>
  </si>
  <si>
    <t>RE1, choosen</t>
  </si>
  <si>
    <t xml:space="preserve">~opt. for </t>
  </si>
  <si>
    <t>RB</t>
  </si>
  <si>
    <t>ohms calc. -- round to standard value</t>
  </si>
  <si>
    <t>VEQ chosen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</si>
</sst>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164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1" fontId="4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0" fontId="5" fillId="0" borderId="0" xfId="0" applyFont="1"/>
    <xf numFmtId="0" fontId="3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2" fontId="3" fillId="2" borderId="0" xfId="0" applyNumberFormat="1" applyFont="1" applyFill="1" applyProtection="1">
      <protection locked="0"/>
    </xf>
    <xf numFmtId="0" fontId="7" fillId="3" borderId="0" xfId="0" applyFont="1" applyFill="1" applyAlignment="1">
      <alignment horizontal="right"/>
    </xf>
    <xf numFmtId="2" fontId="6" fillId="3" borderId="0" xfId="0" applyNumberFormat="1" applyFont="1" applyFill="1"/>
    <xf numFmtId="0" fontId="0" fillId="3" borderId="0" xfId="0" applyFill="1"/>
    <xf numFmtId="164" fontId="6" fillId="3" borderId="0" xfId="0" applyNumberFormat="1" applyFont="1" applyFill="1"/>
    <xf numFmtId="165" fontId="6" fillId="3" borderId="0" xfId="0" applyNumberFormat="1" applyFont="1" applyFill="1"/>
    <xf numFmtId="3" fontId="6" fillId="3" borderId="0" xfId="0" applyNumberFormat="1" applyFont="1" applyFill="1"/>
    <xf numFmtId="0" fontId="0" fillId="0" borderId="0" xfId="0" applyAlignment="1">
      <alignment horizontal="left"/>
    </xf>
    <xf numFmtId="2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7</xdr:col>
      <xdr:colOff>276225</xdr:colOff>
      <xdr:row>81</xdr:row>
      <xdr:rowOff>100316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4700"/>
          <a:ext cx="5219700" cy="4672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16</xdr:col>
      <xdr:colOff>180975</xdr:colOff>
      <xdr:row>81</xdr:row>
      <xdr:rowOff>115661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0744200"/>
          <a:ext cx="4714875" cy="487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topLeftCell="J21" workbookViewId="0">
      <selection activeCell="J45" sqref="J45"/>
    </sheetView>
  </sheetViews>
  <sheetFormatPr defaultRowHeight="15" x14ac:dyDescent="0.25"/>
  <cols>
    <col min="1" max="1" width="12.7109375" bestFit="1" customWidth="1"/>
    <col min="2" max="2" width="12.7109375" customWidth="1"/>
    <col min="3" max="3" width="11.140625" customWidth="1"/>
    <col min="5" max="5" width="10.140625" customWidth="1"/>
    <col min="11" max="11" width="13.140625" customWidth="1"/>
  </cols>
  <sheetData>
    <row r="1" spans="1:9" x14ac:dyDescent="0.25">
      <c r="A1" s="5" t="s">
        <v>53</v>
      </c>
    </row>
    <row r="2" spans="1:9" x14ac:dyDescent="0.25">
      <c r="A2" s="5" t="s">
        <v>54</v>
      </c>
      <c r="D2" t="s">
        <v>55</v>
      </c>
      <c r="G2" t="s">
        <v>56</v>
      </c>
      <c r="I2" t="s">
        <v>66</v>
      </c>
    </row>
    <row r="4" spans="1:9" x14ac:dyDescent="0.25">
      <c r="A4" s="6" t="s">
        <v>57</v>
      </c>
    </row>
    <row r="5" spans="1:9" x14ac:dyDescent="0.25">
      <c r="A5" t="s">
        <v>62</v>
      </c>
    </row>
    <row r="6" spans="1:9" x14ac:dyDescent="0.25">
      <c r="A6" t="s">
        <v>60</v>
      </c>
    </row>
    <row r="7" spans="1:9" x14ac:dyDescent="0.25">
      <c r="A7" t="s">
        <v>61</v>
      </c>
    </row>
    <row r="8" spans="1:9" x14ac:dyDescent="0.25">
      <c r="A8" t="s">
        <v>58</v>
      </c>
    </row>
    <row r="9" spans="1:9" x14ac:dyDescent="0.25">
      <c r="A9" t="s">
        <v>59</v>
      </c>
    </row>
    <row r="10" spans="1:9" x14ac:dyDescent="0.25">
      <c r="A10" t="s">
        <v>67</v>
      </c>
    </row>
    <row r="12" spans="1:9" x14ac:dyDescent="0.25">
      <c r="A12" s="5" t="s">
        <v>44</v>
      </c>
    </row>
    <row r="13" spans="1:9" x14ac:dyDescent="0.25">
      <c r="A13" s="6" t="s">
        <v>39</v>
      </c>
      <c r="D13" s="6" t="s">
        <v>40</v>
      </c>
      <c r="G13" s="6" t="s">
        <v>41</v>
      </c>
    </row>
    <row r="14" spans="1:9" x14ac:dyDescent="0.25">
      <c r="A14" s="14">
        <v>0.65</v>
      </c>
      <c r="B14" t="s">
        <v>4</v>
      </c>
      <c r="D14" s="14">
        <v>5</v>
      </c>
      <c r="E14" t="s">
        <v>42</v>
      </c>
      <c r="G14" s="14">
        <v>1.2</v>
      </c>
      <c r="H14" t="s">
        <v>63</v>
      </c>
    </row>
    <row r="15" spans="1:9" x14ac:dyDescent="0.25">
      <c r="A15" s="14">
        <v>-2E-3</v>
      </c>
      <c r="B15" t="s">
        <v>5</v>
      </c>
      <c r="D15" s="14">
        <v>60</v>
      </c>
      <c r="E15" t="s">
        <v>43</v>
      </c>
      <c r="G15" s="14">
        <v>1.2</v>
      </c>
      <c r="H15" t="s">
        <v>38</v>
      </c>
    </row>
    <row r="16" spans="1:9" x14ac:dyDescent="0.25">
      <c r="A16" s="14">
        <v>75</v>
      </c>
      <c r="B16" t="s">
        <v>6</v>
      </c>
    </row>
    <row r="17" spans="1:17" x14ac:dyDescent="0.25">
      <c r="A17" s="14">
        <v>250</v>
      </c>
      <c r="B17" t="s">
        <v>7</v>
      </c>
    </row>
    <row r="19" spans="1:17" ht="21" x14ac:dyDescent="0.35">
      <c r="A19" s="13" t="s">
        <v>0</v>
      </c>
      <c r="I19" s="1" t="s">
        <v>37</v>
      </c>
      <c r="J19" s="13" t="s">
        <v>32</v>
      </c>
    </row>
    <row r="20" spans="1:17" x14ac:dyDescent="0.25">
      <c r="A20" s="5" t="s">
        <v>22</v>
      </c>
      <c r="I20" s="1" t="s">
        <v>37</v>
      </c>
      <c r="J20" s="5" t="s">
        <v>22</v>
      </c>
    </row>
    <row r="21" spans="1:17" x14ac:dyDescent="0.25">
      <c r="A21" s="14">
        <v>12</v>
      </c>
      <c r="B21" t="s">
        <v>1</v>
      </c>
      <c r="I21" s="1" t="s">
        <v>37</v>
      </c>
      <c r="J21" s="14">
        <v>24</v>
      </c>
      <c r="K21" t="s">
        <v>1</v>
      </c>
    </row>
    <row r="22" spans="1:17" x14ac:dyDescent="0.25">
      <c r="A22" s="15">
        <v>5000</v>
      </c>
      <c r="B22" t="s">
        <v>2</v>
      </c>
      <c r="H22" s="17" t="s">
        <v>46</v>
      </c>
      <c r="I22" s="1" t="s">
        <v>37</v>
      </c>
      <c r="J22" s="15">
        <v>1000</v>
      </c>
      <c r="K22" t="s">
        <v>2</v>
      </c>
    </row>
    <row r="23" spans="1:17" x14ac:dyDescent="0.25">
      <c r="A23" s="14">
        <v>100</v>
      </c>
      <c r="B23" t="s">
        <v>23</v>
      </c>
      <c r="D23" s="10">
        <f>-ABS(A23)</f>
        <v>-100</v>
      </c>
      <c r="E23" t="s">
        <v>24</v>
      </c>
      <c r="H23" s="18">
        <f>-(C34/(C34+1))*C48/(H47+H49)</f>
        <v>-97.253795831212059</v>
      </c>
      <c r="I23" s="1" t="s">
        <v>37</v>
      </c>
      <c r="J23" s="14">
        <v>0.2</v>
      </c>
      <c r="K23" t="s">
        <v>33</v>
      </c>
    </row>
    <row r="24" spans="1:17" x14ac:dyDescent="0.25">
      <c r="A24" s="14">
        <v>1</v>
      </c>
      <c r="B24" t="s">
        <v>65</v>
      </c>
      <c r="H24" s="19"/>
      <c r="I24" s="1" t="s">
        <v>37</v>
      </c>
      <c r="J24" s="14">
        <v>1</v>
      </c>
      <c r="K24" t="s">
        <v>65</v>
      </c>
    </row>
    <row r="25" spans="1:17" x14ac:dyDescent="0.25">
      <c r="A25" s="14">
        <v>1</v>
      </c>
      <c r="B25" t="s">
        <v>8</v>
      </c>
      <c r="F25" s="10">
        <f>IF(A25=1,1,0)</f>
        <v>1</v>
      </c>
      <c r="G25" t="s">
        <v>17</v>
      </c>
      <c r="H25" s="19"/>
      <c r="I25" s="1" t="s">
        <v>37</v>
      </c>
      <c r="J25" s="14">
        <v>1</v>
      </c>
      <c r="K25" t="s">
        <v>8</v>
      </c>
      <c r="O25" s="10">
        <f>IF(J25=1,1,0)</f>
        <v>1</v>
      </c>
      <c r="P25" t="s">
        <v>17</v>
      </c>
    </row>
    <row r="26" spans="1:17" x14ac:dyDescent="0.25">
      <c r="A26" s="14">
        <v>0.5</v>
      </c>
      <c r="B26" t="s">
        <v>19</v>
      </c>
      <c r="H26" s="19"/>
      <c r="I26" s="1" t="s">
        <v>37</v>
      </c>
    </row>
    <row r="27" spans="1:17" x14ac:dyDescent="0.25">
      <c r="H27" s="19"/>
      <c r="I27" s="1" t="s">
        <v>37</v>
      </c>
    </row>
    <row r="28" spans="1:17" x14ac:dyDescent="0.25">
      <c r="A28" s="5" t="s">
        <v>21</v>
      </c>
      <c r="H28" s="19"/>
      <c r="I28" s="1" t="s">
        <v>37</v>
      </c>
      <c r="J28" s="5" t="s">
        <v>21</v>
      </c>
    </row>
    <row r="29" spans="1:17" x14ac:dyDescent="0.25">
      <c r="B29" s="2" t="s">
        <v>11</v>
      </c>
      <c r="C29" s="7">
        <f>$A$14-$A$15*(25-$D$14)</f>
        <v>0.69000000000000006</v>
      </c>
      <c r="D29" t="s">
        <v>36</v>
      </c>
      <c r="H29" s="19"/>
      <c r="I29" s="1" t="s">
        <v>37</v>
      </c>
      <c r="K29" s="2" t="s">
        <v>11</v>
      </c>
      <c r="L29" s="7">
        <f>$A$14-$A$15*(25-$D$14)</f>
        <v>0.69000000000000006</v>
      </c>
      <c r="M29" t="s">
        <v>36</v>
      </c>
    </row>
    <row r="30" spans="1:17" x14ac:dyDescent="0.25">
      <c r="B30" s="2" t="s">
        <v>12</v>
      </c>
      <c r="C30" s="7">
        <f>$A$14+$A$15*($D$15-25)</f>
        <v>0.58000000000000007</v>
      </c>
      <c r="D30" t="s">
        <v>36</v>
      </c>
      <c r="H30" s="19"/>
      <c r="I30" s="1" t="s">
        <v>37</v>
      </c>
      <c r="K30" s="2" t="s">
        <v>12</v>
      </c>
      <c r="L30" s="7">
        <f>$A$14+$A$15*($D$15-25)</f>
        <v>0.58000000000000007</v>
      </c>
      <c r="M30" t="s">
        <v>36</v>
      </c>
    </row>
    <row r="31" spans="1:17" x14ac:dyDescent="0.25">
      <c r="B31" s="2" t="s">
        <v>13</v>
      </c>
      <c r="C31" s="7">
        <f>(G14*C29-C30)/(G14-1)</f>
        <v>1.2400000000000002</v>
      </c>
      <c r="D31" t="s">
        <v>36</v>
      </c>
      <c r="H31" s="20">
        <f>A21*A44/(A43+A44)</f>
        <v>1.1872791519434629</v>
      </c>
      <c r="I31" s="1" t="s">
        <v>37</v>
      </c>
      <c r="K31" s="2" t="s">
        <v>14</v>
      </c>
      <c r="L31" s="8">
        <f>($C$29+$C$30)/2</f>
        <v>0.63500000000000001</v>
      </c>
      <c r="M31" t="s">
        <v>36</v>
      </c>
    </row>
    <row r="32" spans="1:17" x14ac:dyDescent="0.25">
      <c r="B32" s="2" t="s">
        <v>14</v>
      </c>
      <c r="C32" s="8">
        <f>($C$29+$C$30)/2</f>
        <v>0.63500000000000001</v>
      </c>
      <c r="D32" t="s">
        <v>36</v>
      </c>
      <c r="H32" s="19"/>
      <c r="I32" s="1" t="s">
        <v>37</v>
      </c>
      <c r="Q32" s="17" t="s">
        <v>46</v>
      </c>
    </row>
    <row r="33" spans="1:17" x14ac:dyDescent="0.25">
      <c r="B33" s="2" t="s">
        <v>15</v>
      </c>
      <c r="C33" s="9">
        <f>($G$15*($A$17+1)/$A$17 - ($A$16+1)/$A$16)/(1/$A$16-$G$15/$A$17)</f>
        <v>22.437499999999975</v>
      </c>
      <c r="H33" s="18">
        <f>H42/A41</f>
        <v>21.024734982332156</v>
      </c>
      <c r="I33" s="1" t="s">
        <v>37</v>
      </c>
      <c r="K33" s="2" t="s">
        <v>15</v>
      </c>
      <c r="L33" s="9">
        <f>($G$15*($A$17+1)/$A$17 - ($A$16+1)/$A$16)/(1/$A$16-$G$15/$A$17)</f>
        <v>22.437499999999975</v>
      </c>
      <c r="Q33" s="18">
        <f>Q41/J36</f>
        <v>23.345817727840199</v>
      </c>
    </row>
    <row r="34" spans="1:17" x14ac:dyDescent="0.25">
      <c r="B34" s="2" t="s">
        <v>16</v>
      </c>
      <c r="C34" s="10">
        <f>INT(SQRT($A$16*$A$17)+0.5)</f>
        <v>137</v>
      </c>
      <c r="H34" s="19"/>
      <c r="I34" s="1" t="s">
        <v>37</v>
      </c>
      <c r="K34" s="2" t="s">
        <v>16</v>
      </c>
      <c r="L34" s="10">
        <f>INT(SQRT($A$16*$A$17)+0.5)</f>
        <v>137</v>
      </c>
      <c r="Q34" s="19"/>
    </row>
    <row r="35" spans="1:17" x14ac:dyDescent="0.25">
      <c r="H35" s="19"/>
      <c r="I35" s="1" t="s">
        <v>37</v>
      </c>
      <c r="Q35" s="19"/>
    </row>
    <row r="36" spans="1:17" x14ac:dyDescent="0.25">
      <c r="H36" s="19"/>
      <c r="I36" s="1" t="s">
        <v>37</v>
      </c>
      <c r="J36" s="15">
        <v>1800</v>
      </c>
      <c r="K36" t="s">
        <v>70</v>
      </c>
      <c r="L36" s="11">
        <f>IF(O25=1,J22/2,2*J22)</f>
        <v>500</v>
      </c>
      <c r="M36" s="1" t="s">
        <v>9</v>
      </c>
      <c r="N36" s="11">
        <f>IF(O25=1,2*J22,10*J22)</f>
        <v>2000</v>
      </c>
      <c r="O36" t="s">
        <v>10</v>
      </c>
      <c r="Q36" s="19"/>
    </row>
    <row r="37" spans="1:17" x14ac:dyDescent="0.25">
      <c r="A37" s="15">
        <v>3300</v>
      </c>
      <c r="B37" s="23" t="s">
        <v>68</v>
      </c>
      <c r="C37" s="11">
        <f>IF(F25=0,A22,A22/2)</f>
        <v>2500</v>
      </c>
      <c r="D37" s="1" t="s">
        <v>9</v>
      </c>
      <c r="E37" s="11">
        <f>IF(F25=0,A22*5,A22*2)</f>
        <v>10000</v>
      </c>
      <c r="F37" t="s">
        <v>10</v>
      </c>
      <c r="H37" s="19"/>
      <c r="I37" s="1" t="s">
        <v>37</v>
      </c>
      <c r="P37" s="2" t="s">
        <v>26</v>
      </c>
      <c r="Q37" s="21">
        <f>(Q40-L31)/(J36+Q41/(L34+1))</f>
        <v>6.7457299710611436E-3</v>
      </c>
    </row>
    <row r="38" spans="1:17" x14ac:dyDescent="0.25">
      <c r="A38" s="16">
        <v>5</v>
      </c>
      <c r="B38" s="23" t="s">
        <v>69</v>
      </c>
      <c r="C38" s="9">
        <f>IF(F25=1,(2*(A37/A22+1)*(C31+A24)+A26*A21)/(2*(A37/A22+1)+A26),C31+A24)</f>
        <v>3.5174869109947644</v>
      </c>
      <c r="D38" s="2" t="s">
        <v>74</v>
      </c>
      <c r="E38" t="str">
        <f>IF(F25=1,"Large Signal design","Small Signal design")</f>
        <v>Large Signal design</v>
      </c>
      <c r="H38" s="18">
        <f>A21-H40*A37</f>
        <v>5.4578991589636479</v>
      </c>
      <c r="I38" s="1" t="s">
        <v>37</v>
      </c>
      <c r="K38" t="s">
        <v>34</v>
      </c>
      <c r="L38" s="9">
        <f>IF(O25=1,(J21-J23)*(1+J36/J22)/(2+J36/J22),J21-J24-L31)</f>
        <v>17.536842105263158</v>
      </c>
      <c r="M38" t="s">
        <v>36</v>
      </c>
      <c r="Q38" s="18">
        <f>Q37*J36</f>
        <v>12.142313947910058</v>
      </c>
    </row>
    <row r="39" spans="1:17" x14ac:dyDescent="0.25">
      <c r="H39" s="19"/>
      <c r="I39" s="1" t="s">
        <v>37</v>
      </c>
      <c r="J39" s="24">
        <v>12</v>
      </c>
      <c r="K39" t="s">
        <v>77</v>
      </c>
    </row>
    <row r="40" spans="1:17" x14ac:dyDescent="0.25">
      <c r="B40" s="2" t="s">
        <v>18</v>
      </c>
      <c r="C40" s="12">
        <f>(A21-A38)/A37</f>
        <v>2.1212121212121214E-3</v>
      </c>
      <c r="D40" t="s">
        <v>28</v>
      </c>
      <c r="H40" s="21">
        <f>H46*C34/(C34+1)</f>
        <v>1.9824548003140462E-3</v>
      </c>
      <c r="I40" s="1" t="s">
        <v>37</v>
      </c>
      <c r="K40" t="s">
        <v>35</v>
      </c>
      <c r="L40" s="9">
        <f>(J39+L31)+J39*L33/(L34+1)</f>
        <v>14.586086956521736</v>
      </c>
      <c r="M40" t="s">
        <v>36</v>
      </c>
      <c r="Q40" s="18">
        <f>J21*J44/(J43+J44)</f>
        <v>14.831460674157304</v>
      </c>
    </row>
    <row r="41" spans="1:17" x14ac:dyDescent="0.25">
      <c r="A41" s="15">
        <v>240</v>
      </c>
      <c r="B41" s="23" t="s">
        <v>70</v>
      </c>
      <c r="C41" s="11">
        <f>(C31-C32)/(((C34+1)/C34+C33/C34)*C40)</f>
        <v>243.54877845177813</v>
      </c>
      <c r="D41" t="s">
        <v>76</v>
      </c>
      <c r="H41" s="19"/>
      <c r="I41" s="1" t="s">
        <v>37</v>
      </c>
      <c r="K41" t="s">
        <v>20</v>
      </c>
      <c r="L41" s="11">
        <f>L33*J36</f>
        <v>40387.499999999956</v>
      </c>
      <c r="M41" t="s">
        <v>29</v>
      </c>
      <c r="Q41" s="22">
        <f>1/(1/J43+1/J44)</f>
        <v>42022.471910112356</v>
      </c>
    </row>
    <row r="42" spans="1:17" x14ac:dyDescent="0.25">
      <c r="B42" s="2" t="s">
        <v>20</v>
      </c>
      <c r="C42" s="11">
        <f>C33*A41</f>
        <v>5384.9999999999936</v>
      </c>
      <c r="D42" t="s">
        <v>29</v>
      </c>
      <c r="H42" s="22">
        <f>1/(1/A43+1/A44)</f>
        <v>5045.936395759717</v>
      </c>
      <c r="I42" s="1" t="s">
        <v>37</v>
      </c>
      <c r="Q42" s="19"/>
    </row>
    <row r="43" spans="1:17" x14ac:dyDescent="0.25">
      <c r="A43" s="15">
        <v>51000</v>
      </c>
      <c r="B43" s="23" t="s">
        <v>71</v>
      </c>
      <c r="C43" s="11">
        <f>C42*A21/C31</f>
        <v>52112.903225806382</v>
      </c>
      <c r="D43" t="s">
        <v>76</v>
      </c>
      <c r="H43" s="19"/>
      <c r="I43" s="1" t="s">
        <v>37</v>
      </c>
      <c r="J43" s="15">
        <v>68000</v>
      </c>
      <c r="K43" s="23" t="s">
        <v>71</v>
      </c>
      <c r="L43" s="11">
        <f>L41*J21/L40</f>
        <v>66453.737927745256</v>
      </c>
      <c r="M43" t="s">
        <v>76</v>
      </c>
      <c r="Q43" s="19"/>
    </row>
    <row r="44" spans="1:17" x14ac:dyDescent="0.25">
      <c r="A44" s="15">
        <v>5600</v>
      </c>
      <c r="B44" s="23" t="s">
        <v>72</v>
      </c>
      <c r="C44" s="11">
        <f>A43/(A21/C31-1)</f>
        <v>5877.32342007435</v>
      </c>
      <c r="D44" t="s">
        <v>76</v>
      </c>
      <c r="H44" s="19"/>
      <c r="I44" s="1" t="s">
        <v>37</v>
      </c>
      <c r="J44" s="15">
        <v>110000</v>
      </c>
      <c r="K44" s="23" t="s">
        <v>72</v>
      </c>
      <c r="L44" s="11">
        <f>J43/(J21/L40-1)</f>
        <v>105360.42859782002</v>
      </c>
      <c r="M44" t="s">
        <v>76</v>
      </c>
      <c r="Q44" s="19"/>
    </row>
    <row r="45" spans="1:17" x14ac:dyDescent="0.25">
      <c r="H45" s="19"/>
      <c r="I45" s="1" t="s">
        <v>37</v>
      </c>
      <c r="P45" t="s">
        <v>52</v>
      </c>
      <c r="Q45" s="22">
        <f>1/(1/J36+1/J22)</f>
        <v>642.85714285714278</v>
      </c>
    </row>
    <row r="46" spans="1:17" x14ac:dyDescent="0.25">
      <c r="B46" s="2" t="s">
        <v>27</v>
      </c>
      <c r="C46" s="12">
        <f>C40*(C34+1)/C34</f>
        <v>2.1366954213669544E-3</v>
      </c>
      <c r="D46" t="s">
        <v>28</v>
      </c>
      <c r="H46" s="21">
        <f>(H31-C32)/(A41+H42/(C34+1))</f>
        <v>1.9969252733090396E-3</v>
      </c>
      <c r="I46" s="1" t="s">
        <v>37</v>
      </c>
      <c r="K46" s="2"/>
      <c r="L46" s="4"/>
      <c r="P46" t="s">
        <v>51</v>
      </c>
      <c r="Q46" s="18">
        <f>0.026/Q37</f>
        <v>3.8542900637201232</v>
      </c>
    </row>
    <row r="47" spans="1:17" x14ac:dyDescent="0.25">
      <c r="B47" s="2" t="s">
        <v>25</v>
      </c>
      <c r="C47" s="9">
        <f>0.026/C46</f>
        <v>12.168322981366458</v>
      </c>
      <c r="D47" t="s">
        <v>29</v>
      </c>
      <c r="H47" s="18">
        <f>0.026/H46</f>
        <v>13.02001649611868</v>
      </c>
      <c r="I47" s="1" t="s">
        <v>37</v>
      </c>
      <c r="K47" s="2"/>
      <c r="L47" s="3"/>
      <c r="P47" t="s">
        <v>47</v>
      </c>
      <c r="Q47" s="22">
        <f>(L34+1)*(Q45+39)</f>
        <v>94096.28571428571</v>
      </c>
    </row>
    <row r="48" spans="1:17" x14ac:dyDescent="0.25">
      <c r="B48" s="2" t="s">
        <v>31</v>
      </c>
      <c r="C48" s="11">
        <f>1/(1/A37+1/A22)</f>
        <v>1987.9518072289156</v>
      </c>
      <c r="D48" t="s">
        <v>29</v>
      </c>
      <c r="H48" s="19"/>
      <c r="I48" s="1" t="s">
        <v>37</v>
      </c>
      <c r="P48" t="s">
        <v>48</v>
      </c>
      <c r="Q48" s="22">
        <f>1/(1/Q47+1/Q41)</f>
        <v>29049.32863246858</v>
      </c>
    </row>
    <row r="49" spans="1:17" x14ac:dyDescent="0.25">
      <c r="B49" s="2" t="s">
        <v>30</v>
      </c>
      <c r="C49" s="9">
        <f>(C34/(C34+1))*C48/(-D23)-C47</f>
        <v>7.5671406121379938</v>
      </c>
      <c r="D49" t="s">
        <v>45</v>
      </c>
      <c r="H49" s="18">
        <f>1/(1/A41+1/A50)</f>
        <v>7.2727272727272725</v>
      </c>
      <c r="I49" s="1" t="s">
        <v>37</v>
      </c>
      <c r="P49" t="s">
        <v>3</v>
      </c>
      <c r="Q49" s="20">
        <f>Q45/(Q45+Q46)</f>
        <v>0.99404017020959057</v>
      </c>
    </row>
    <row r="50" spans="1:17" x14ac:dyDescent="0.25">
      <c r="A50" s="14">
        <v>7.5</v>
      </c>
      <c r="B50" s="23" t="s">
        <v>73</v>
      </c>
      <c r="C50" s="9">
        <f>1/(1/C49-1/A41)</f>
        <v>7.8134982794431806</v>
      </c>
      <c r="D50" t="s">
        <v>76</v>
      </c>
      <c r="H50" s="19"/>
      <c r="I50" s="1" t="s">
        <v>37</v>
      </c>
      <c r="P50" t="s">
        <v>49</v>
      </c>
      <c r="Q50" s="18">
        <f>Q49^2*Q48/J22</f>
        <v>28.704102343812881</v>
      </c>
    </row>
    <row r="51" spans="1:17" x14ac:dyDescent="0.25">
      <c r="G51" t="s">
        <v>75</v>
      </c>
      <c r="H51" s="22">
        <f>A43*A44/(A43+A44)</f>
        <v>5045.936395759717</v>
      </c>
      <c r="I51" s="1" t="s">
        <v>37</v>
      </c>
      <c r="P51" t="s">
        <v>50</v>
      </c>
      <c r="Q51" s="18">
        <f>10*LOG(Q50)</f>
        <v>14.579439698336872</v>
      </c>
    </row>
    <row r="52" spans="1:17" x14ac:dyDescent="0.25">
      <c r="G52" t="s">
        <v>47</v>
      </c>
      <c r="H52" s="22">
        <f>(C34+1)*(H49+H47)</f>
        <v>2800.3986401007414</v>
      </c>
      <c r="I52" s="1" t="s">
        <v>37</v>
      </c>
    </row>
    <row r="53" spans="1:17" x14ac:dyDescent="0.25">
      <c r="B53" s="2"/>
      <c r="G53" t="s">
        <v>48</v>
      </c>
      <c r="H53" s="22">
        <f>1/(1/H52+1/H42)</f>
        <v>1800.9214947027469</v>
      </c>
      <c r="I53" s="1" t="s">
        <v>37</v>
      </c>
    </row>
    <row r="54" spans="1:17" x14ac:dyDescent="0.25">
      <c r="G54" t="s">
        <v>49</v>
      </c>
      <c r="H54" s="22">
        <f>H23^2*H53/A22</f>
        <v>3406.7314441059666</v>
      </c>
      <c r="I54" s="1" t="s">
        <v>37</v>
      </c>
    </row>
    <row r="55" spans="1:17" x14ac:dyDescent="0.25">
      <c r="G55" t="s">
        <v>50</v>
      </c>
      <c r="H55" s="18">
        <f>10*LOG(H54)</f>
        <v>35.323378990683587</v>
      </c>
      <c r="I55" s="1" t="s">
        <v>37</v>
      </c>
    </row>
    <row r="56" spans="1:17" x14ac:dyDescent="0.25">
      <c r="G56" t="s">
        <v>64</v>
      </c>
      <c r="H56" s="18">
        <f>-C34/(C34+1)*A37/(H49+H47)</f>
        <v>-161.44130107981204</v>
      </c>
      <c r="I56" s="1" t="s">
        <v>37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Kuhn</dc:creator>
  <cp:lastModifiedBy>Kenneth Kuhn</cp:lastModifiedBy>
  <dcterms:created xsi:type="dcterms:W3CDTF">2012-10-07T19:05:02Z</dcterms:created>
  <dcterms:modified xsi:type="dcterms:W3CDTF">2015-10-01T20:52:00Z</dcterms:modified>
</cp:coreProperties>
</file>